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MC Stat book Springer\Chapter 6 Analytical Methods\Calculations and figures\"/>
    </mc:Choice>
  </mc:AlternateContent>
  <bookViews>
    <workbookView xWindow="0" yWindow="0" windowWidth="28800" windowHeight="12435" activeTab="3"/>
  </bookViews>
  <sheets>
    <sheet name="Calculations for Section 6.4." sheetId="1" r:id="rId1"/>
    <sheet name="Ruggedness calcs 6.4.10" sheetId="3" r:id="rId2"/>
    <sheet name="Fixed Rugg 6.4.11" sheetId="5" r:id="rId3"/>
    <sheet name="Method transfer 6.5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0" i="1" l="1"/>
  <c r="B88" i="1"/>
  <c r="B86" i="1"/>
  <c r="B85" i="1"/>
  <c r="B87" i="1"/>
  <c r="B83" i="1"/>
  <c r="B84" i="1"/>
  <c r="B82" i="1"/>
  <c r="B70" i="1"/>
  <c r="B69" i="1"/>
  <c r="G17" i="1" l="1"/>
  <c r="B56" i="1" s="1"/>
  <c r="B18" i="6" l="1"/>
  <c r="B19" i="6" s="1"/>
  <c r="B9" i="6"/>
  <c r="B10" i="6" s="1"/>
  <c r="B11" i="6" s="1"/>
  <c r="B12" i="6" l="1"/>
  <c r="B13" i="6"/>
  <c r="B12" i="5" l="1"/>
  <c r="B11" i="5"/>
  <c r="B10" i="5"/>
  <c r="B7" i="5"/>
  <c r="B6" i="5"/>
  <c r="B27" i="5"/>
  <c r="B24" i="5"/>
  <c r="B18" i="5"/>
  <c r="B9" i="5"/>
  <c r="B13" i="5" l="1"/>
  <c r="B19" i="5" s="1"/>
  <c r="B21" i="5" s="1"/>
  <c r="B9" i="3"/>
  <c r="B10" i="3" s="1"/>
  <c r="B11" i="3" s="1"/>
  <c r="B1" i="3"/>
  <c r="B22" i="3"/>
  <c r="B25" i="3"/>
  <c r="B16" i="3"/>
  <c r="B7" i="3"/>
  <c r="B6" i="3"/>
  <c r="B28" i="5" l="1"/>
  <c r="B29" i="5" s="1"/>
  <c r="B31" i="5" s="1"/>
  <c r="B20" i="5"/>
  <c r="B17" i="3"/>
  <c r="B26" i="3"/>
  <c r="B27" i="3" s="1"/>
  <c r="B79" i="1"/>
  <c r="B73" i="1" l="1"/>
  <c r="B30" i="5"/>
  <c r="B29" i="3"/>
  <c r="B28" i="3"/>
  <c r="B19" i="3"/>
  <c r="B18" i="3"/>
  <c r="B72" i="1"/>
  <c r="B74" i="1" l="1"/>
  <c r="B75" i="1" s="1"/>
  <c r="B77" i="1" s="1"/>
  <c r="B76" i="1"/>
  <c r="B47" i="1"/>
  <c r="B41" i="1"/>
  <c r="B49" i="1" l="1"/>
  <c r="B50" i="1" s="1"/>
  <c r="B40" i="1"/>
  <c r="B42" i="1" s="1"/>
  <c r="G4" i="1"/>
  <c r="G3" i="1"/>
  <c r="B39" i="1" s="1"/>
  <c r="G2" i="1"/>
  <c r="G16" i="1" l="1"/>
  <c r="B44" i="1"/>
  <c r="B43" i="1"/>
  <c r="B64" i="1" l="1"/>
  <c r="B63" i="1"/>
  <c r="B57" i="1"/>
  <c r="B55" i="1"/>
  <c r="B31" i="1"/>
  <c r="B32" i="1" s="1"/>
  <c r="B24" i="1"/>
  <c r="B26" i="1" s="1"/>
  <c r="B25" i="1" l="1"/>
  <c r="B58" i="1"/>
  <c r="B59" i="1"/>
</calcChain>
</file>

<file path=xl/sharedStrings.xml><?xml version="1.0" encoding="utf-8"?>
<sst xmlns="http://schemas.openxmlformats.org/spreadsheetml/2006/main" count="173" uniqueCount="101">
  <si>
    <t>Test Concentration (%)</t>
  </si>
  <si>
    <t>Test Solution (Plate or Run)</t>
  </si>
  <si>
    <t>Reportable Value (mg/g)</t>
  </si>
  <si>
    <t>True Value (tau)</t>
  </si>
  <si>
    <t>two-sided conf level (1-alpha)</t>
  </si>
  <si>
    <t>Upper bound on bias</t>
  </si>
  <si>
    <t>Lower bound on bias</t>
  </si>
  <si>
    <t>One-sided conf level (1-alpha)</t>
  </si>
  <si>
    <t>t-value</t>
  </si>
  <si>
    <t>chi-squared value CI</t>
  </si>
  <si>
    <t>P</t>
  </si>
  <si>
    <t>Lower PI</t>
  </si>
  <si>
    <t>Upper PI</t>
  </si>
  <si>
    <t>Z value</t>
  </si>
  <si>
    <t>Chi-squared value</t>
  </si>
  <si>
    <t>K</t>
  </si>
  <si>
    <t>Lower TI</t>
  </si>
  <si>
    <t>Upper TI</t>
  </si>
  <si>
    <t>Number of values ( n )</t>
  </si>
  <si>
    <t>Tolerance Interval [13]</t>
  </si>
  <si>
    <t>Upper bound on  SD</t>
  </si>
  <si>
    <t>Analyst</t>
  </si>
  <si>
    <t>a</t>
  </si>
  <si>
    <t>U</t>
  </si>
  <si>
    <t>m</t>
  </si>
  <si>
    <t>Ybar1</t>
  </si>
  <si>
    <t>Ybar2</t>
  </si>
  <si>
    <t>Ybar3</t>
  </si>
  <si>
    <t>Number of values in level (r)</t>
  </si>
  <si>
    <t>error df</t>
  </si>
  <si>
    <t>S^2_E</t>
  </si>
  <si>
    <t>Number of concentration levels (c )</t>
  </si>
  <si>
    <t>Analysis of Variance</t>
  </si>
  <si>
    <t>Source</t>
  </si>
  <si>
    <t>DF</t>
  </si>
  <si>
    <t>Sum of Squares</t>
  </si>
  <si>
    <t>Mean Square</t>
  </si>
  <si>
    <t>F Ratio</t>
  </si>
  <si>
    <t>Model</t>
  </si>
  <si>
    <t>Error</t>
  </si>
  <si>
    <t>Prob &gt; F</t>
  </si>
  <si>
    <t>C. Total</t>
  </si>
  <si>
    <t>Error degrees of freedom</t>
  </si>
  <si>
    <t>Probability of OOS</t>
  </si>
  <si>
    <t>LSL</t>
  </si>
  <si>
    <t>USL</t>
  </si>
  <si>
    <t>Sample mean</t>
  </si>
  <si>
    <t>Sample Std dev</t>
  </si>
  <si>
    <t>KLS</t>
  </si>
  <si>
    <t>Sample size</t>
  </si>
  <si>
    <t>KUS</t>
  </si>
  <si>
    <t>pi-hat</t>
  </si>
  <si>
    <t>lambdaU</t>
  </si>
  <si>
    <t>K*</t>
  </si>
  <si>
    <t>b</t>
  </si>
  <si>
    <t>sqrt(n) times K*</t>
  </si>
  <si>
    <t>From SAS 'tnonct" or other program that can compute a non-central t</t>
  </si>
  <si>
    <t>r</t>
  </si>
  <si>
    <t>n1</t>
  </si>
  <si>
    <t>n2</t>
  </si>
  <si>
    <t>m int</t>
  </si>
  <si>
    <t>Prediction Interval (6.25)</t>
  </si>
  <si>
    <t>Y Bar</t>
  </si>
  <si>
    <t>Summary of Fit</t>
  </si>
  <si>
    <t>RSquare</t>
  </si>
  <si>
    <t>RSquare Adj</t>
  </si>
  <si>
    <t>Root Mean Square Error</t>
  </si>
  <si>
    <t>Mean of Response</t>
  </si>
  <si>
    <t>Observations (or Sum Wgts)</t>
  </si>
  <si>
    <t>rho</t>
  </si>
  <si>
    <t>S^2_Total</t>
  </si>
  <si>
    <t>Lambda</t>
  </si>
  <si>
    <t>n1*</t>
  </si>
  <si>
    <t>m*</t>
  </si>
  <si>
    <t>m*int</t>
  </si>
  <si>
    <t>S^2_A</t>
  </si>
  <si>
    <t>Satt df</t>
  </si>
  <si>
    <t>Satt df rounded</t>
  </si>
  <si>
    <t>LB unequal</t>
  </si>
  <si>
    <t>UB unequal</t>
  </si>
  <si>
    <t>Var1</t>
  </si>
  <si>
    <t xml:space="preserve"> Var2</t>
  </si>
  <si>
    <t>Two-sided conf level</t>
  </si>
  <si>
    <t>Equivalence test for Bias</t>
  </si>
  <si>
    <t>Prediction interval for Variance</t>
  </si>
  <si>
    <t>Confidence level</t>
  </si>
  <si>
    <t>F-value</t>
  </si>
  <si>
    <t>Ybar 2</t>
  </si>
  <si>
    <t>Average Case 1</t>
  </si>
  <si>
    <t>Variance Case 1</t>
  </si>
  <si>
    <t>Bias Confidence Interval Case 1 (6.5)</t>
  </si>
  <si>
    <t>SD Confidence Interval Case 1 (6.6)</t>
  </si>
  <si>
    <t>Bias 100% level Case 2 (6.10)</t>
  </si>
  <si>
    <t>SD Confidence Interval Case 2 (6.11)</t>
  </si>
  <si>
    <t>Case 2 calculations</t>
  </si>
  <si>
    <t>Prediction Interval from (2.24) to test (6.15)</t>
  </si>
  <si>
    <t>S^2 for Case 1</t>
  </si>
  <si>
    <t>Y-bar for Case 1</t>
  </si>
  <si>
    <t>Tolerance Interval  from (2.26) to test (6.15)</t>
  </si>
  <si>
    <t>Proportion of total variance due to process (rho)</t>
  </si>
  <si>
    <t>Adjusted S^2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</si>
</sst>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000000000"/>
    <numFmt numFmtId="167" formatCode="0.00000000"/>
    <numFmt numFmtId="168" formatCode="0.00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Fill="1"/>
    <xf numFmtId="167" fontId="0" fillId="0" borderId="0" xfId="0" applyNumberFormat="1"/>
    <xf numFmtId="168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opLeftCell="A66" workbookViewId="0">
      <selection activeCell="B90" sqref="B90"/>
    </sheetView>
  </sheetViews>
  <sheetFormatPr defaultRowHeight="15" x14ac:dyDescent="0.25"/>
  <cols>
    <col min="1" max="1" width="44.5703125" bestFit="1" customWidth="1"/>
    <col min="2" max="2" width="25.7109375" bestFit="1" customWidth="1"/>
    <col min="3" max="3" width="23.28515625" bestFit="1" customWidth="1"/>
    <col min="6" max="6" width="15.85546875" bestFit="1" customWidth="1"/>
    <col min="7" max="7" width="16.7109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21</v>
      </c>
    </row>
    <row r="2" spans="1:7" x14ac:dyDescent="0.25">
      <c r="A2">
        <v>50</v>
      </c>
      <c r="B2">
        <v>1</v>
      </c>
      <c r="C2">
        <v>1000.57</v>
      </c>
      <c r="D2">
        <v>1</v>
      </c>
      <c r="F2" t="s">
        <v>25</v>
      </c>
      <c r="G2">
        <f>AVERAGE(C2:C5)</f>
        <v>998.70249999999999</v>
      </c>
    </row>
    <row r="3" spans="1:7" x14ac:dyDescent="0.25">
      <c r="A3">
        <v>50</v>
      </c>
      <c r="B3">
        <v>2</v>
      </c>
      <c r="C3">
        <v>996.93</v>
      </c>
      <c r="D3">
        <v>1</v>
      </c>
      <c r="F3" t="s">
        <v>26</v>
      </c>
      <c r="G3">
        <f>AVERAGE(C6:C9)</f>
        <v>997.94999999999993</v>
      </c>
    </row>
    <row r="4" spans="1:7" x14ac:dyDescent="0.25">
      <c r="A4">
        <v>50</v>
      </c>
      <c r="B4">
        <v>3</v>
      </c>
      <c r="C4">
        <v>1002.4</v>
      </c>
      <c r="D4">
        <v>2</v>
      </c>
      <c r="F4" t="s">
        <v>27</v>
      </c>
      <c r="G4">
        <f>AVERAGE(C10:C13)</f>
        <v>999.92000000000007</v>
      </c>
    </row>
    <row r="5" spans="1:7" x14ac:dyDescent="0.25">
      <c r="A5">
        <v>50</v>
      </c>
      <c r="B5">
        <v>4</v>
      </c>
      <c r="C5">
        <v>994.91</v>
      </c>
      <c r="D5">
        <v>2</v>
      </c>
    </row>
    <row r="6" spans="1:7" x14ac:dyDescent="0.25">
      <c r="A6">
        <v>100</v>
      </c>
      <c r="B6">
        <v>5</v>
      </c>
      <c r="C6">
        <v>994.16</v>
      </c>
      <c r="D6">
        <v>3</v>
      </c>
    </row>
    <row r="7" spans="1:7" x14ac:dyDescent="0.25">
      <c r="A7">
        <v>100</v>
      </c>
      <c r="B7">
        <v>6</v>
      </c>
      <c r="C7">
        <v>992.72</v>
      </c>
      <c r="D7">
        <v>3</v>
      </c>
    </row>
    <row r="8" spans="1:7" x14ac:dyDescent="0.25">
      <c r="A8">
        <v>100</v>
      </c>
      <c r="B8">
        <v>7</v>
      </c>
      <c r="C8">
        <v>1000.03</v>
      </c>
      <c r="D8">
        <v>4</v>
      </c>
    </row>
    <row r="9" spans="1:7" x14ac:dyDescent="0.25">
      <c r="A9">
        <v>100</v>
      </c>
      <c r="B9">
        <v>8</v>
      </c>
      <c r="C9">
        <v>1004.89</v>
      </c>
      <c r="D9">
        <v>4</v>
      </c>
    </row>
    <row r="10" spans="1:7" x14ac:dyDescent="0.25">
      <c r="A10">
        <v>150</v>
      </c>
      <c r="B10">
        <v>9</v>
      </c>
      <c r="C10">
        <v>1002.53</v>
      </c>
      <c r="D10">
        <v>5</v>
      </c>
    </row>
    <row r="11" spans="1:7" x14ac:dyDescent="0.25">
      <c r="A11">
        <v>150</v>
      </c>
      <c r="B11">
        <v>10</v>
      </c>
      <c r="C11">
        <v>1004.83</v>
      </c>
      <c r="D11">
        <v>5</v>
      </c>
    </row>
    <row r="12" spans="1:7" x14ac:dyDescent="0.25">
      <c r="A12">
        <v>150</v>
      </c>
      <c r="B12">
        <v>11</v>
      </c>
      <c r="C12">
        <v>998.17</v>
      </c>
      <c r="D12">
        <v>6</v>
      </c>
    </row>
    <row r="13" spans="1:7" x14ac:dyDescent="0.25">
      <c r="A13">
        <v>150</v>
      </c>
      <c r="B13">
        <v>12</v>
      </c>
      <c r="C13">
        <v>994.15</v>
      </c>
      <c r="D13">
        <v>6</v>
      </c>
    </row>
    <row r="16" spans="1:7" x14ac:dyDescent="0.25">
      <c r="C16" s="2"/>
      <c r="F16" t="s">
        <v>88</v>
      </c>
      <c r="G16">
        <f>AVERAGE(G2:G4)</f>
        <v>998.85750000000007</v>
      </c>
    </row>
    <row r="17" spans="1:9" x14ac:dyDescent="0.25">
      <c r="C17" s="2"/>
      <c r="F17" t="s">
        <v>89</v>
      </c>
      <c r="G17" s="5">
        <f>STDEV(C2:C13)^2</f>
        <v>18.552038636363704</v>
      </c>
    </row>
    <row r="20" spans="1:9" x14ac:dyDescent="0.25">
      <c r="A20" s="1" t="s">
        <v>90</v>
      </c>
    </row>
    <row r="21" spans="1:9" x14ac:dyDescent="0.25">
      <c r="A21" t="s">
        <v>18</v>
      </c>
      <c r="B21">
        <v>12</v>
      </c>
      <c r="D21" t="s">
        <v>94</v>
      </c>
    </row>
    <row r="22" spans="1:9" x14ac:dyDescent="0.25">
      <c r="A22" t="s">
        <v>4</v>
      </c>
      <c r="B22">
        <v>0.9</v>
      </c>
    </row>
    <row r="23" spans="1:9" x14ac:dyDescent="0.25">
      <c r="A23" t="s">
        <v>3</v>
      </c>
      <c r="B23">
        <v>1000</v>
      </c>
      <c r="D23" t="s">
        <v>32</v>
      </c>
    </row>
    <row r="24" spans="1:9" x14ac:dyDescent="0.25">
      <c r="A24" t="s">
        <v>8</v>
      </c>
      <c r="B24">
        <f>TINV(1-B22,B21-1)</f>
        <v>1.7958848187040437</v>
      </c>
    </row>
    <row r="25" spans="1:9" x14ac:dyDescent="0.25">
      <c r="A25" t="s">
        <v>6</v>
      </c>
      <c r="B25" s="2">
        <f>(G16-B23)-B24*SQRT(G17/B21)</f>
        <v>-3.3754740509521306</v>
      </c>
      <c r="D25" t="s">
        <v>33</v>
      </c>
      <c r="E25" t="s">
        <v>34</v>
      </c>
      <c r="F25" t="s">
        <v>35</v>
      </c>
      <c r="G25" t="s">
        <v>36</v>
      </c>
      <c r="H25" t="s">
        <v>37</v>
      </c>
    </row>
    <row r="26" spans="1:9" x14ac:dyDescent="0.25">
      <c r="A26" t="s">
        <v>5</v>
      </c>
      <c r="B26" s="2">
        <f>(G16-B23)+B24*SQRT(G17/B21)</f>
        <v>1.0904740509522761</v>
      </c>
      <c r="D26" t="s">
        <v>38</v>
      </c>
      <c r="E26">
        <v>2</v>
      </c>
      <c r="F26">
        <v>7.9059499999999998</v>
      </c>
      <c r="G26">
        <v>3.9529999999999998</v>
      </c>
      <c r="H26">
        <v>0.18140000000000001</v>
      </c>
    </row>
    <row r="27" spans="1:9" x14ac:dyDescent="0.25">
      <c r="D27" t="s">
        <v>39</v>
      </c>
      <c r="E27">
        <v>9</v>
      </c>
      <c r="F27">
        <v>196.16648000000001</v>
      </c>
      <c r="G27">
        <v>21.796299999999999</v>
      </c>
      <c r="I27" t="s">
        <v>40</v>
      </c>
    </row>
    <row r="28" spans="1:9" x14ac:dyDescent="0.25">
      <c r="A28" s="1" t="s">
        <v>91</v>
      </c>
      <c r="D28" t="s">
        <v>41</v>
      </c>
      <c r="E28">
        <v>11</v>
      </c>
      <c r="F28">
        <v>204.07243</v>
      </c>
      <c r="H28">
        <v>0.83709999999999996</v>
      </c>
    </row>
    <row r="29" spans="1:9" x14ac:dyDescent="0.25">
      <c r="A29" t="s">
        <v>18</v>
      </c>
      <c r="B29">
        <v>12</v>
      </c>
    </row>
    <row r="30" spans="1:9" x14ac:dyDescent="0.25">
      <c r="A30" t="s">
        <v>7</v>
      </c>
      <c r="B30">
        <v>0.95</v>
      </c>
    </row>
    <row r="31" spans="1:9" x14ac:dyDescent="0.25">
      <c r="A31" t="s">
        <v>9</v>
      </c>
      <c r="B31" s="2">
        <f>CHIINV(B30,B29-1)</f>
        <v>4.5748130793222259</v>
      </c>
    </row>
    <row r="32" spans="1:9" x14ac:dyDescent="0.25">
      <c r="A32" t="s">
        <v>20</v>
      </c>
      <c r="B32" s="2">
        <f>SQRT(G17)*SQRT((B29-1)/B31)</f>
        <v>6.6789083745888878</v>
      </c>
    </row>
    <row r="33" spans="1:2" x14ac:dyDescent="0.25">
      <c r="B33" s="2"/>
    </row>
    <row r="34" spans="1:2" x14ac:dyDescent="0.25">
      <c r="A34" s="1" t="s">
        <v>92</v>
      </c>
    </row>
    <row r="35" spans="1:2" x14ac:dyDescent="0.25">
      <c r="A35" s="6" t="s">
        <v>31</v>
      </c>
      <c r="B35">
        <v>3</v>
      </c>
    </row>
    <row r="36" spans="1:2" x14ac:dyDescent="0.25">
      <c r="A36" t="s">
        <v>28</v>
      </c>
      <c r="B36">
        <v>4</v>
      </c>
    </row>
    <row r="37" spans="1:2" x14ac:dyDescent="0.25">
      <c r="A37" t="s">
        <v>4</v>
      </c>
      <c r="B37">
        <v>0.9</v>
      </c>
    </row>
    <row r="38" spans="1:2" x14ac:dyDescent="0.25">
      <c r="A38" t="s">
        <v>3</v>
      </c>
      <c r="B38">
        <v>1000</v>
      </c>
    </row>
    <row r="39" spans="1:2" x14ac:dyDescent="0.25">
      <c r="A39" t="s">
        <v>87</v>
      </c>
      <c r="B39">
        <f>G3</f>
        <v>997.94999999999993</v>
      </c>
    </row>
    <row r="40" spans="1:2" x14ac:dyDescent="0.25">
      <c r="A40" t="s">
        <v>29</v>
      </c>
      <c r="B40">
        <f>B35*(B36-1)</f>
        <v>9</v>
      </c>
    </row>
    <row r="41" spans="1:2" x14ac:dyDescent="0.25">
      <c r="A41" t="s">
        <v>30</v>
      </c>
      <c r="B41">
        <f>G27</f>
        <v>21.796299999999999</v>
      </c>
    </row>
    <row r="42" spans="1:2" x14ac:dyDescent="0.25">
      <c r="A42" t="s">
        <v>8</v>
      </c>
      <c r="B42">
        <f>TINV(1-B37,B40)</f>
        <v>1.8331129326562374</v>
      </c>
    </row>
    <row r="43" spans="1:2" x14ac:dyDescent="0.25">
      <c r="A43" t="s">
        <v>6</v>
      </c>
      <c r="B43" s="2">
        <f>(B39-B38)-B42*SQRT(B41/B36)</f>
        <v>-6.3290820510716372</v>
      </c>
    </row>
    <row r="44" spans="1:2" x14ac:dyDescent="0.25">
      <c r="A44" t="s">
        <v>5</v>
      </c>
      <c r="B44" s="2">
        <f>(B39-B38)+B42*SQRT(B41/B36)</f>
        <v>2.2290820510715008</v>
      </c>
    </row>
    <row r="45" spans="1:2" x14ac:dyDescent="0.25">
      <c r="B45" s="2"/>
    </row>
    <row r="46" spans="1:2" x14ac:dyDescent="0.25">
      <c r="A46" s="1" t="s">
        <v>93</v>
      </c>
    </row>
    <row r="47" spans="1:2" x14ac:dyDescent="0.25">
      <c r="A47" t="s">
        <v>42</v>
      </c>
      <c r="B47">
        <f>B35*(B36-1)</f>
        <v>9</v>
      </c>
    </row>
    <row r="48" spans="1:2" x14ac:dyDescent="0.25">
      <c r="A48" t="s">
        <v>7</v>
      </c>
      <c r="B48">
        <v>0.95</v>
      </c>
    </row>
    <row r="49" spans="1:2" x14ac:dyDescent="0.25">
      <c r="A49" t="s">
        <v>9</v>
      </c>
      <c r="B49" s="2">
        <f>CHIINV(B48,B47)</f>
        <v>3.3251128430668162</v>
      </c>
    </row>
    <row r="50" spans="1:2" x14ac:dyDescent="0.25">
      <c r="A50" t="s">
        <v>20</v>
      </c>
      <c r="B50" s="2">
        <f>SQRT(B47*B41/B49)</f>
        <v>7.6808529203443143</v>
      </c>
    </row>
    <row r="51" spans="1:2" x14ac:dyDescent="0.25">
      <c r="B51" s="2"/>
    </row>
    <row r="52" spans="1:2" x14ac:dyDescent="0.25">
      <c r="A52" s="1" t="s">
        <v>95</v>
      </c>
    </row>
    <row r="53" spans="1:2" x14ac:dyDescent="0.25">
      <c r="A53" t="s">
        <v>10</v>
      </c>
      <c r="B53">
        <v>0.9</v>
      </c>
    </row>
    <row r="54" spans="1:2" x14ac:dyDescent="0.25">
      <c r="A54" t="s">
        <v>18</v>
      </c>
      <c r="B54">
        <v>12</v>
      </c>
    </row>
    <row r="55" spans="1:2" x14ac:dyDescent="0.25">
      <c r="A55" t="s">
        <v>8</v>
      </c>
      <c r="B55" s="4">
        <f>TINV(1-B53,B54-1)</f>
        <v>1.7958848187040437</v>
      </c>
    </row>
    <row r="56" spans="1:2" x14ac:dyDescent="0.25">
      <c r="A56" t="s">
        <v>96</v>
      </c>
      <c r="B56" s="4">
        <f>G17</f>
        <v>18.552038636363704</v>
      </c>
    </row>
    <row r="57" spans="1:2" x14ac:dyDescent="0.25">
      <c r="A57" t="s">
        <v>97</v>
      </c>
      <c r="B57" s="4">
        <f>G16</f>
        <v>998.85750000000007</v>
      </c>
    </row>
    <row r="58" spans="1:2" x14ac:dyDescent="0.25">
      <c r="A58" t="s">
        <v>11</v>
      </c>
      <c r="B58" s="3">
        <f>B57-B55*SQRT((1+1/B54)*B56)</f>
        <v>990.80639756251139</v>
      </c>
    </row>
    <row r="59" spans="1:2" x14ac:dyDescent="0.25">
      <c r="A59" t="s">
        <v>12</v>
      </c>
      <c r="B59" s="3">
        <f>B57+B55*SQRT((1+1/B54)*B56)</f>
        <v>1006.9086024374888</v>
      </c>
    </row>
    <row r="61" spans="1:2" x14ac:dyDescent="0.25">
      <c r="A61" s="1" t="s">
        <v>98</v>
      </c>
    </row>
    <row r="62" spans="1:2" x14ac:dyDescent="0.25">
      <c r="A62" t="s">
        <v>15</v>
      </c>
      <c r="B62" s="2">
        <v>2.4140000000000001</v>
      </c>
    </row>
    <row r="63" spans="1:2" x14ac:dyDescent="0.25">
      <c r="A63" t="s">
        <v>16</v>
      </c>
      <c r="B63" s="3">
        <f>G16-B62*SQRT(G17)</f>
        <v>988.45990048177509</v>
      </c>
    </row>
    <row r="64" spans="1:2" x14ac:dyDescent="0.25">
      <c r="A64" t="s">
        <v>17</v>
      </c>
      <c r="B64" s="3">
        <f>G16+B62*SQRT(G17)</f>
        <v>1009.2550995182251</v>
      </c>
    </row>
    <row r="66" spans="1:3" x14ac:dyDescent="0.25">
      <c r="A66" s="1" t="s">
        <v>43</v>
      </c>
    </row>
    <row r="67" spans="1:3" x14ac:dyDescent="0.25">
      <c r="A67" t="s">
        <v>44</v>
      </c>
      <c r="B67">
        <v>980</v>
      </c>
    </row>
    <row r="68" spans="1:3" x14ac:dyDescent="0.25">
      <c r="A68" t="s">
        <v>45</v>
      </c>
      <c r="B68">
        <v>1020</v>
      </c>
    </row>
    <row r="69" spans="1:3" x14ac:dyDescent="0.25">
      <c r="A69" t="s">
        <v>46</v>
      </c>
      <c r="B69" s="2">
        <f>G16</f>
        <v>998.85750000000007</v>
      </c>
    </row>
    <row r="70" spans="1:3" x14ac:dyDescent="0.25">
      <c r="A70" t="s">
        <v>47</v>
      </c>
      <c r="B70" s="2">
        <f>SQRT(G17)</f>
        <v>4.3072077540285543</v>
      </c>
    </row>
    <row r="71" spans="1:3" x14ac:dyDescent="0.25">
      <c r="A71" t="s">
        <v>49</v>
      </c>
      <c r="B71">
        <v>12</v>
      </c>
    </row>
    <row r="72" spans="1:3" x14ac:dyDescent="0.25">
      <c r="A72" t="s">
        <v>48</v>
      </c>
      <c r="B72" s="4">
        <f>(B69-B67)/B70</f>
        <v>4.3781264050619688</v>
      </c>
    </row>
    <row r="73" spans="1:3" x14ac:dyDescent="0.25">
      <c r="A73" t="s">
        <v>50</v>
      </c>
      <c r="B73" s="4">
        <f>(B68-B69)/B70</f>
        <v>4.9086325079688189</v>
      </c>
    </row>
    <row r="74" spans="1:3" x14ac:dyDescent="0.25">
      <c r="A74" t="s">
        <v>51</v>
      </c>
      <c r="B74" s="7">
        <f>NORMDIST(-SQRT(B71/(B71-1))*B72,0,1,1)+NORMDIST(-SQRT(B71/(B71-1))*B73,0,1,1)</f>
        <v>2.5534789387305772E-6</v>
      </c>
    </row>
    <row r="75" spans="1:3" x14ac:dyDescent="0.25">
      <c r="A75" t="s">
        <v>54</v>
      </c>
      <c r="B75" s="8">
        <f>BETAINV(B74,(B71-2)/2,(B71-2)/2)</f>
        <v>2.9511697070722664E-2</v>
      </c>
    </row>
    <row r="76" spans="1:3" x14ac:dyDescent="0.25">
      <c r="A76" t="s">
        <v>53</v>
      </c>
      <c r="B76" s="4">
        <f>MIN(B72:B73)</f>
        <v>4.3781264050619688</v>
      </c>
    </row>
    <row r="77" spans="1:3" x14ac:dyDescent="0.25">
      <c r="A77" t="s">
        <v>55</v>
      </c>
      <c r="B77" s="4">
        <f>B76*SQRT(B71)</f>
        <v>15.166274751052416</v>
      </c>
    </row>
    <row r="78" spans="1:3" x14ac:dyDescent="0.25">
      <c r="A78" t="s">
        <v>52</v>
      </c>
      <c r="B78">
        <v>9.5128000000000004</v>
      </c>
      <c r="C78" t="s">
        <v>56</v>
      </c>
    </row>
    <row r="79" spans="1:3" x14ac:dyDescent="0.25">
      <c r="A79" t="s">
        <v>23</v>
      </c>
      <c r="B79">
        <f>1-NORMDIST(B78/SQRT(B71),0,1,1)</f>
        <v>3.0153378285094901E-3</v>
      </c>
    </row>
    <row r="81" spans="1:3" x14ac:dyDescent="0.25">
      <c r="A81" t="s">
        <v>99</v>
      </c>
      <c r="B81">
        <v>0.5</v>
      </c>
    </row>
    <row r="82" spans="1:3" x14ac:dyDescent="0.25">
      <c r="A82" t="s">
        <v>100</v>
      </c>
      <c r="B82">
        <f>G17*(1/(1-B81))</f>
        <v>37.104077272727409</v>
      </c>
    </row>
    <row r="83" spans="1:3" x14ac:dyDescent="0.25">
      <c r="A83" t="s">
        <v>48</v>
      </c>
      <c r="B83">
        <f>(B69-B67)/SQRT(B82)</f>
        <v>3.0958028699111999</v>
      </c>
    </row>
    <row r="84" spans="1:3" x14ac:dyDescent="0.25">
      <c r="A84" t="s">
        <v>50</v>
      </c>
      <c r="B84">
        <f>(B68-B69)/SQRT(B82)</f>
        <v>3.4709273327374817</v>
      </c>
    </row>
    <row r="85" spans="1:3" x14ac:dyDescent="0.25">
      <c r="A85" t="s">
        <v>51</v>
      </c>
      <c r="B85">
        <f>NORMDIST(-SQRT(B71/(B71-1))*B83,0,1,1)+NORMDIST(-SQRT(B71/(B71-1))*B84,0,1,1)</f>
        <v>7.5583337659995426E-4</v>
      </c>
    </row>
    <row r="86" spans="1:3" x14ac:dyDescent="0.25">
      <c r="A86" t="s">
        <v>54</v>
      </c>
      <c r="B86">
        <f>BETAINV(B85,(B71-2)/2,(B71-2)/2)</f>
        <v>9.6522871674391594E-2</v>
      </c>
    </row>
    <row r="87" spans="1:3" x14ac:dyDescent="0.25">
      <c r="A87" t="s">
        <v>53</v>
      </c>
      <c r="B87">
        <f>MIN(B83:B84)</f>
        <v>3.0958028699111999</v>
      </c>
    </row>
    <row r="88" spans="1:3" x14ac:dyDescent="0.25">
      <c r="A88" t="s">
        <v>55</v>
      </c>
      <c r="B88">
        <f>B87*SQRT(B71)</f>
        <v>10.724175721807484</v>
      </c>
    </row>
    <row r="89" spans="1:3" x14ac:dyDescent="0.25">
      <c r="A89" t="s">
        <v>52</v>
      </c>
      <c r="B89">
        <v>6.5449999999999999</v>
      </c>
      <c r="C89" t="s">
        <v>56</v>
      </c>
    </row>
    <row r="90" spans="1:3" x14ac:dyDescent="0.25">
      <c r="A90" t="s">
        <v>23</v>
      </c>
      <c r="B90">
        <f>1-NORMDIST(B89/SQRT(B71),0,1,1)</f>
        <v>2.9420547705303668E-2</v>
      </c>
    </row>
  </sheetData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B9" sqref="B9"/>
    </sheetView>
  </sheetViews>
  <sheetFormatPr defaultRowHeight="15" x14ac:dyDescent="0.25"/>
  <cols>
    <col min="1" max="1" width="23.28515625" bestFit="1" customWidth="1"/>
    <col min="2" max="2" width="12" bestFit="1" customWidth="1"/>
    <col min="3" max="3" width="14.7109375" bestFit="1" customWidth="1"/>
    <col min="4" max="4" width="12.5703125" bestFit="1" customWidth="1"/>
    <col min="5" max="5" width="7" bestFit="1" customWidth="1"/>
    <col min="6" max="6" width="12.5703125" bestFit="1" customWidth="1"/>
    <col min="7" max="7" width="26.140625" bestFit="1" customWidth="1"/>
    <col min="8" max="8" width="9" bestFit="1" customWidth="1"/>
  </cols>
  <sheetData>
    <row r="1" spans="1:11" x14ac:dyDescent="0.25">
      <c r="A1" t="s">
        <v>62</v>
      </c>
      <c r="B1">
        <f>H9</f>
        <v>998.85749999999996</v>
      </c>
    </row>
    <row r="2" spans="1:11" x14ac:dyDescent="0.25">
      <c r="A2" t="s">
        <v>22</v>
      </c>
      <c r="B2">
        <v>6</v>
      </c>
    </row>
    <row r="3" spans="1:11" x14ac:dyDescent="0.25">
      <c r="A3" t="s">
        <v>57</v>
      </c>
      <c r="B3">
        <v>2</v>
      </c>
      <c r="G3" t="s">
        <v>63</v>
      </c>
    </row>
    <row r="4" spans="1:11" x14ac:dyDescent="0.25">
      <c r="A4" t="s">
        <v>75</v>
      </c>
      <c r="B4">
        <v>29.164999999999999</v>
      </c>
    </row>
    <row r="5" spans="1:11" x14ac:dyDescent="0.25">
      <c r="A5" t="s">
        <v>30</v>
      </c>
      <c r="B5">
        <v>9.7080000000000002</v>
      </c>
    </row>
    <row r="6" spans="1:11" x14ac:dyDescent="0.25">
      <c r="A6" t="s">
        <v>58</v>
      </c>
      <c r="B6">
        <f>H16</f>
        <v>5</v>
      </c>
      <c r="G6" t="s">
        <v>64</v>
      </c>
      <c r="H6">
        <v>0.71457899999999996</v>
      </c>
    </row>
    <row r="7" spans="1:11" x14ac:dyDescent="0.25">
      <c r="A7" t="s">
        <v>59</v>
      </c>
      <c r="B7">
        <f>H17</f>
        <v>6</v>
      </c>
      <c r="G7" t="s">
        <v>65</v>
      </c>
      <c r="H7">
        <v>0.47672700000000001</v>
      </c>
    </row>
    <row r="8" spans="1:11" x14ac:dyDescent="0.25">
      <c r="A8" t="s">
        <v>69</v>
      </c>
      <c r="B8">
        <v>0</v>
      </c>
      <c r="G8" t="s">
        <v>66</v>
      </c>
      <c r="H8">
        <v>3.1157300000000001</v>
      </c>
    </row>
    <row r="9" spans="1:11" x14ac:dyDescent="0.25">
      <c r="A9" t="s">
        <v>70</v>
      </c>
      <c r="B9" s="4">
        <f>(B4/B3+(1-1/B3)*B5)/(1-B8)</f>
        <v>19.436499999999999</v>
      </c>
      <c r="G9" t="s">
        <v>67</v>
      </c>
      <c r="H9">
        <v>998.85749999999996</v>
      </c>
    </row>
    <row r="10" spans="1:11" x14ac:dyDescent="0.25">
      <c r="A10" t="s">
        <v>24</v>
      </c>
      <c r="B10">
        <f>B9^2/(B4^2/(B3^2*(B2-1))+((B3-1)*B5^2)/(B3^2*B2))</f>
        <v>8.1318119457879181</v>
      </c>
      <c r="G10" t="s">
        <v>68</v>
      </c>
      <c r="H10">
        <v>12</v>
      </c>
    </row>
    <row r="11" spans="1:11" x14ac:dyDescent="0.25">
      <c r="A11" t="s">
        <v>60</v>
      </c>
      <c r="B11">
        <f>INT(B10+0.5)</f>
        <v>8</v>
      </c>
    </row>
    <row r="13" spans="1:11" x14ac:dyDescent="0.25">
      <c r="G13" t="s">
        <v>32</v>
      </c>
    </row>
    <row r="14" spans="1:11" x14ac:dyDescent="0.25">
      <c r="A14" s="1" t="s">
        <v>61</v>
      </c>
    </row>
    <row r="15" spans="1:11" x14ac:dyDescent="0.25">
      <c r="A15" t="s">
        <v>10</v>
      </c>
      <c r="B15">
        <v>0.9</v>
      </c>
      <c r="G15" t="s">
        <v>33</v>
      </c>
      <c r="H15" t="s">
        <v>34</v>
      </c>
      <c r="I15" t="s">
        <v>35</v>
      </c>
      <c r="J15" t="s">
        <v>36</v>
      </c>
      <c r="K15" t="s">
        <v>37</v>
      </c>
    </row>
    <row r="16" spans="1:11" x14ac:dyDescent="0.25">
      <c r="A16" t="s">
        <v>18</v>
      </c>
      <c r="B16">
        <f>B2*B3</f>
        <v>12</v>
      </c>
      <c r="F16" s="7"/>
      <c r="G16" t="s">
        <v>38</v>
      </c>
      <c r="H16">
        <v>5</v>
      </c>
      <c r="I16">
        <v>145.82578000000001</v>
      </c>
      <c r="J16">
        <v>29.165199999999999</v>
      </c>
      <c r="K16">
        <v>3.0043000000000002</v>
      </c>
    </row>
    <row r="17" spans="1:12" x14ac:dyDescent="0.25">
      <c r="A17" t="s">
        <v>8</v>
      </c>
      <c r="B17" s="2">
        <f>TINV(1-B15,B11)</f>
        <v>1.8595480375308981</v>
      </c>
      <c r="F17" s="7"/>
      <c r="G17" t="s">
        <v>39</v>
      </c>
      <c r="H17">
        <v>6</v>
      </c>
      <c r="I17">
        <v>58.246650000000002</v>
      </c>
      <c r="J17">
        <v>9.7078000000000007</v>
      </c>
      <c r="L17" t="s">
        <v>40</v>
      </c>
    </row>
    <row r="18" spans="1:12" x14ac:dyDescent="0.25">
      <c r="A18" t="s">
        <v>11</v>
      </c>
      <c r="B18" s="3">
        <f>B1-B17*SQRT(B9)*SQRT(1+1/B16)</f>
        <v>990.32458368493076</v>
      </c>
      <c r="C18" s="2"/>
      <c r="G18" t="s">
        <v>41</v>
      </c>
      <c r="H18">
        <v>11</v>
      </c>
      <c r="I18">
        <v>204.07241999999999</v>
      </c>
      <c r="K18">
        <v>0.1065</v>
      </c>
    </row>
    <row r="19" spans="1:12" x14ac:dyDescent="0.25">
      <c r="A19" t="s">
        <v>12</v>
      </c>
      <c r="B19" s="3">
        <f>B1+B17*SQRT(B9)*SQRT(1+1/B16)</f>
        <v>1007.3904163150692</v>
      </c>
    </row>
    <row r="21" spans="1:12" x14ac:dyDescent="0.25">
      <c r="A21" s="1" t="s">
        <v>19</v>
      </c>
    </row>
    <row r="22" spans="1:12" x14ac:dyDescent="0.25">
      <c r="A22" t="s">
        <v>18</v>
      </c>
      <c r="B22">
        <f>B2*B3</f>
        <v>12</v>
      </c>
    </row>
    <row r="23" spans="1:12" x14ac:dyDescent="0.25">
      <c r="A23" t="s">
        <v>4</v>
      </c>
      <c r="B23">
        <v>0.9</v>
      </c>
    </row>
    <row r="24" spans="1:12" x14ac:dyDescent="0.25">
      <c r="A24" t="s">
        <v>10</v>
      </c>
      <c r="B24">
        <v>0.9</v>
      </c>
    </row>
    <row r="25" spans="1:12" x14ac:dyDescent="0.25">
      <c r="A25" t="s">
        <v>13</v>
      </c>
      <c r="B25" s="2">
        <f>NORMINV((1+B24)/2,0,1)</f>
        <v>1.6448536269514715</v>
      </c>
    </row>
    <row r="26" spans="1:12" x14ac:dyDescent="0.25">
      <c r="A26" t="s">
        <v>14</v>
      </c>
      <c r="B26" s="2">
        <f>CHIINV(B23,B11)</f>
        <v>3.4895391256498209</v>
      </c>
    </row>
    <row r="27" spans="1:12" x14ac:dyDescent="0.25">
      <c r="A27" t="s">
        <v>15</v>
      </c>
      <c r="B27" s="2">
        <f>SQRT(B25^2*B11/B26*(1+1/B22))</f>
        <v>2.5922045426997422</v>
      </c>
    </row>
    <row r="28" spans="1:12" x14ac:dyDescent="0.25">
      <c r="A28" t="s">
        <v>16</v>
      </c>
      <c r="B28" s="3">
        <f>B1-B27*SQRT(B9)</f>
        <v>987.42928772382015</v>
      </c>
    </row>
    <row r="29" spans="1:12" x14ac:dyDescent="0.25">
      <c r="A29" t="s">
        <v>17</v>
      </c>
      <c r="B29" s="3">
        <f>B1+B27*SQRT(B9)</f>
        <v>1010.2857122761798</v>
      </c>
    </row>
    <row r="31" spans="1:12" x14ac:dyDescent="0.25">
      <c r="B31" s="3"/>
    </row>
    <row r="32" spans="1:12" x14ac:dyDescent="0.25">
      <c r="B32" s="3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B10" sqref="B10:B11"/>
    </sheetView>
  </sheetViews>
  <sheetFormatPr defaultRowHeight="15" x14ac:dyDescent="0.25"/>
  <cols>
    <col min="1" max="1" width="23.28515625" bestFit="1" customWidth="1"/>
    <col min="2" max="2" width="12" bestFit="1" customWidth="1"/>
    <col min="3" max="3" width="14.7109375" bestFit="1" customWidth="1"/>
    <col min="4" max="4" width="12.5703125" bestFit="1" customWidth="1"/>
    <col min="5" max="5" width="7" bestFit="1" customWidth="1"/>
    <col min="6" max="6" width="12.5703125" bestFit="1" customWidth="1"/>
    <col min="7" max="7" width="26.140625" bestFit="1" customWidth="1"/>
    <col min="8" max="8" width="9" bestFit="1" customWidth="1"/>
  </cols>
  <sheetData>
    <row r="1" spans="1:2" x14ac:dyDescent="0.25">
      <c r="A1" t="s">
        <v>62</v>
      </c>
      <c r="B1">
        <v>998.85749999999996</v>
      </c>
    </row>
    <row r="2" spans="1:2" x14ac:dyDescent="0.25">
      <c r="A2" t="s">
        <v>22</v>
      </c>
      <c r="B2">
        <v>6</v>
      </c>
    </row>
    <row r="3" spans="1:2" x14ac:dyDescent="0.25">
      <c r="A3" t="s">
        <v>57</v>
      </c>
      <c r="B3">
        <v>2</v>
      </c>
    </row>
    <row r="4" spans="1:2" x14ac:dyDescent="0.25">
      <c r="A4" t="s">
        <v>75</v>
      </c>
      <c r="B4">
        <v>29.164999999999999</v>
      </c>
    </row>
    <row r="5" spans="1:2" x14ac:dyDescent="0.25">
      <c r="A5" t="s">
        <v>30</v>
      </c>
      <c r="B5">
        <v>9.7080000000000002</v>
      </c>
    </row>
    <row r="6" spans="1:2" x14ac:dyDescent="0.25">
      <c r="A6" t="s">
        <v>58</v>
      </c>
      <c r="B6">
        <f>B2-1</f>
        <v>5</v>
      </c>
    </row>
    <row r="7" spans="1:2" x14ac:dyDescent="0.25">
      <c r="A7" t="s">
        <v>59</v>
      </c>
      <c r="B7">
        <f>B2*(B3-1)</f>
        <v>6</v>
      </c>
    </row>
    <row r="8" spans="1:2" x14ac:dyDescent="0.25">
      <c r="A8" t="s">
        <v>69</v>
      </c>
      <c r="B8">
        <v>0</v>
      </c>
    </row>
    <row r="9" spans="1:2" x14ac:dyDescent="0.25">
      <c r="A9" t="s">
        <v>70</v>
      </c>
      <c r="B9" s="4">
        <f>(B4/B3+(1-1/B3)*B5)/(1-B8)</f>
        <v>19.436499999999999</v>
      </c>
    </row>
    <row r="10" spans="1:2" x14ac:dyDescent="0.25">
      <c r="A10" t="s">
        <v>71</v>
      </c>
      <c r="B10" s="4">
        <f>B6/2*((B4/B5)*((B7-2)/B7)-1)</f>
        <v>2.5070388682873226</v>
      </c>
    </row>
    <row r="11" spans="1:2" x14ac:dyDescent="0.25">
      <c r="A11" t="s">
        <v>72</v>
      </c>
      <c r="B11" s="4">
        <f>(B6+2*B10)^2/(B6+4*B10)</f>
        <v>6.6729249037470195</v>
      </c>
    </row>
    <row r="12" spans="1:2" x14ac:dyDescent="0.25">
      <c r="A12" t="s">
        <v>73</v>
      </c>
      <c r="B12">
        <f>B9^2/(B4^2/(B3^2*(B11))+((B3-1)^2*B5^2)/(B3^2*B7))</f>
        <v>10.554105744091553</v>
      </c>
    </row>
    <row r="13" spans="1:2" x14ac:dyDescent="0.25">
      <c r="A13" t="s">
        <v>74</v>
      </c>
      <c r="B13">
        <f>INT(B12+0.5)</f>
        <v>11</v>
      </c>
    </row>
    <row r="16" spans="1:2" x14ac:dyDescent="0.25">
      <c r="A16" s="1" t="s">
        <v>61</v>
      </c>
    </row>
    <row r="17" spans="1:6" x14ac:dyDescent="0.25">
      <c r="A17" t="s">
        <v>10</v>
      </c>
      <c r="B17">
        <v>0.9</v>
      </c>
    </row>
    <row r="18" spans="1:6" x14ac:dyDescent="0.25">
      <c r="A18" t="s">
        <v>18</v>
      </c>
      <c r="B18">
        <f>B2*B3</f>
        <v>12</v>
      </c>
      <c r="F18" s="7"/>
    </row>
    <row r="19" spans="1:6" x14ac:dyDescent="0.25">
      <c r="A19" t="s">
        <v>8</v>
      </c>
      <c r="B19" s="2">
        <f>TINV(1-B17,B13)</f>
        <v>1.7958848187040437</v>
      </c>
      <c r="F19" s="7"/>
    </row>
    <row r="20" spans="1:6" x14ac:dyDescent="0.25">
      <c r="A20" t="s">
        <v>11</v>
      </c>
      <c r="B20" s="3">
        <f>B1-B19*SQRT(B9)*SQRT(1+1/B18)</f>
        <v>990.6167153791024</v>
      </c>
      <c r="C20" s="2"/>
    </row>
    <row r="21" spans="1:6" x14ac:dyDescent="0.25">
      <c r="A21" t="s">
        <v>12</v>
      </c>
      <c r="B21" s="3">
        <f>B1+B19*SQRT(B9)*SQRT(1+1/B18)</f>
        <v>1007.0982846208975</v>
      </c>
    </row>
    <row r="23" spans="1:6" x14ac:dyDescent="0.25">
      <c r="A23" s="1" t="s">
        <v>19</v>
      </c>
    </row>
    <row r="24" spans="1:6" x14ac:dyDescent="0.25">
      <c r="A24" t="s">
        <v>18</v>
      </c>
      <c r="B24">
        <f>B2*B3</f>
        <v>12</v>
      </c>
    </row>
    <row r="25" spans="1:6" x14ac:dyDescent="0.25">
      <c r="A25" t="s">
        <v>4</v>
      </c>
      <c r="B25">
        <v>0.9</v>
      </c>
    </row>
    <row r="26" spans="1:6" x14ac:dyDescent="0.25">
      <c r="A26" t="s">
        <v>10</v>
      </c>
      <c r="B26">
        <v>0.9</v>
      </c>
    </row>
    <row r="27" spans="1:6" x14ac:dyDescent="0.25">
      <c r="A27" t="s">
        <v>13</v>
      </c>
      <c r="B27" s="2">
        <f>NORMINV((1+B26)/2,0,1)</f>
        <v>1.6448536269514715</v>
      </c>
    </row>
    <row r="28" spans="1:6" x14ac:dyDescent="0.25">
      <c r="A28" t="s">
        <v>14</v>
      </c>
      <c r="B28" s="2">
        <f>CHIINV(B25,B13)</f>
        <v>5.5777847897998516</v>
      </c>
    </row>
    <row r="29" spans="1:6" x14ac:dyDescent="0.25">
      <c r="A29" t="s">
        <v>15</v>
      </c>
      <c r="B29" s="2">
        <f>SQRT(B27^2*B13/B28*(1+1/B24))</f>
        <v>2.4042176199212881</v>
      </c>
    </row>
    <row r="30" spans="1:6" x14ac:dyDescent="0.25">
      <c r="A30" t="s">
        <v>16</v>
      </c>
      <c r="B30" s="3">
        <f>B1-B29*SQRT(B9)</f>
        <v>988.25806277735842</v>
      </c>
    </row>
    <row r="31" spans="1:6" x14ac:dyDescent="0.25">
      <c r="A31" t="s">
        <v>17</v>
      </c>
      <c r="B31" s="3">
        <f>B1+B29*SQRT(B9)</f>
        <v>1009.4569372226415</v>
      </c>
    </row>
    <row r="33" spans="2:2" x14ac:dyDescent="0.25">
      <c r="B33" s="3"/>
    </row>
    <row r="34" spans="2:2" x14ac:dyDescent="0.25">
      <c r="B34" s="3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B9" sqref="B9"/>
    </sheetView>
  </sheetViews>
  <sheetFormatPr defaultRowHeight="15" x14ac:dyDescent="0.25"/>
  <cols>
    <col min="1" max="1" width="19.7109375" bestFit="1" customWidth="1"/>
  </cols>
  <sheetData>
    <row r="1" spans="1:2" x14ac:dyDescent="0.25">
      <c r="A1" t="s">
        <v>83</v>
      </c>
    </row>
    <row r="2" spans="1:2" x14ac:dyDescent="0.25">
      <c r="A2" t="s">
        <v>25</v>
      </c>
      <c r="B2">
        <v>247.7</v>
      </c>
    </row>
    <row r="3" spans="1:2" x14ac:dyDescent="0.25">
      <c r="A3" t="s">
        <v>26</v>
      </c>
      <c r="B3">
        <v>249.4</v>
      </c>
    </row>
    <row r="4" spans="1:2" x14ac:dyDescent="0.25">
      <c r="A4" t="s">
        <v>80</v>
      </c>
      <c r="B4">
        <v>10.199999999999999</v>
      </c>
    </row>
    <row r="5" spans="1:2" x14ac:dyDescent="0.25">
      <c r="A5" t="s">
        <v>81</v>
      </c>
      <c r="B5">
        <v>27.1</v>
      </c>
    </row>
    <row r="6" spans="1:2" x14ac:dyDescent="0.25">
      <c r="A6" t="s">
        <v>58</v>
      </c>
      <c r="B6">
        <v>10</v>
      </c>
    </row>
    <row r="7" spans="1:2" x14ac:dyDescent="0.25">
      <c r="A7" t="s">
        <v>59</v>
      </c>
      <c r="B7">
        <v>10</v>
      </c>
    </row>
    <row r="8" spans="1:2" x14ac:dyDescent="0.25">
      <c r="A8" t="s">
        <v>82</v>
      </c>
      <c r="B8">
        <v>0.9</v>
      </c>
    </row>
    <row r="9" spans="1:2" x14ac:dyDescent="0.25">
      <c r="A9" t="s">
        <v>76</v>
      </c>
      <c r="B9">
        <f>(B4/B6+B5/B7)^2/(B4^2/(B6^2*(B6-1))+B5^2/(B7^2*(B7-1)))</f>
        <v>14.93423579223567</v>
      </c>
    </row>
    <row r="10" spans="1:2" x14ac:dyDescent="0.25">
      <c r="A10" t="s">
        <v>77</v>
      </c>
      <c r="B10">
        <f>INT(B9+0.5)</f>
        <v>15</v>
      </c>
    </row>
    <row r="11" spans="1:2" x14ac:dyDescent="0.25">
      <c r="A11" t="s">
        <v>8</v>
      </c>
      <c r="B11">
        <f>TINV(1-B8,B10)</f>
        <v>1.7530503556925723</v>
      </c>
    </row>
    <row r="12" spans="1:2" x14ac:dyDescent="0.25">
      <c r="A12" t="s">
        <v>78</v>
      </c>
      <c r="B12" s="2">
        <f>B2-B3-B11*SQRT(B4/B6+B5/B7)</f>
        <v>-5.0857026006406993</v>
      </c>
    </row>
    <row r="13" spans="1:2" x14ac:dyDescent="0.25">
      <c r="A13" t="s">
        <v>79</v>
      </c>
      <c r="B13" s="2">
        <f>B2-B3+B11*SQRT(B4/B6+B5/B7)</f>
        <v>1.6857026006406648</v>
      </c>
    </row>
    <row r="16" spans="1:2" x14ac:dyDescent="0.25">
      <c r="A16" t="s">
        <v>84</v>
      </c>
    </row>
    <row r="17" spans="1:2" x14ac:dyDescent="0.25">
      <c r="A17" t="s">
        <v>85</v>
      </c>
      <c r="B17">
        <v>0.95</v>
      </c>
    </row>
    <row r="18" spans="1:2" x14ac:dyDescent="0.25">
      <c r="A18" t="s">
        <v>86</v>
      </c>
      <c r="B18">
        <f>FINV(1-B17,B7-1,B6-1)</f>
        <v>3.1788931044582691</v>
      </c>
    </row>
    <row r="19" spans="1:2" x14ac:dyDescent="0.25">
      <c r="A19" t="s">
        <v>23</v>
      </c>
      <c r="B19" s="9">
        <f>B4*B18</f>
        <v>32.424709665474346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Calculations for Section 6.4.</vt:lpstr>
      <vt:lpstr>Ruggedness calcs 6.4.10</vt:lpstr>
      <vt:lpstr>Fixed Rugg 6.4.11</vt:lpstr>
      <vt:lpstr>Method transfer 6.5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Burdick</dc:creator>
  <cp:lastModifiedBy>Rick Burdick</cp:lastModifiedBy>
  <dcterms:created xsi:type="dcterms:W3CDTF">2016-03-02T21:27:27Z</dcterms:created>
  <dcterms:modified xsi:type="dcterms:W3CDTF">2016-09-09T16:00:58Z</dcterms:modified>
</cp:coreProperties>
</file>